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йсоншип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sem</author>
  </authors>
  <commentList>
    <comment ref="E10" authorId="0">
      <text>
        <r>
          <rPr>
            <b/>
            <sz val="8"/>
            <rFont val="Tahoma"/>
            <family val="0"/>
          </rPr>
          <t>sem:</t>
        </r>
        <r>
          <rPr>
            <sz val="8"/>
            <rFont val="Tahoma"/>
            <family val="0"/>
          </rPr>
          <t xml:space="preserve">
принимаем округленно, хотя в первоисточнике был указан диаметр 900 м! Но это явно описка</t>
        </r>
      </text>
    </comment>
    <comment ref="I23" authorId="0">
      <text>
        <r>
          <rPr>
            <b/>
            <sz val="8"/>
            <rFont val="Tahoma"/>
            <family val="0"/>
          </rPr>
          <t>sem:</t>
        </r>
        <r>
          <rPr>
            <sz val="8"/>
            <rFont val="Tahoma"/>
            <family val="0"/>
          </rPr>
          <t xml:space="preserve">
получаются знаительные отклонения но на таком соотношении радиуса и высоты так и будет.</t>
        </r>
      </text>
    </comment>
    <comment ref="E94" authorId="0">
      <text>
        <r>
          <rPr>
            <b/>
            <sz val="8"/>
            <rFont val="Tahoma"/>
            <family val="0"/>
          </rPr>
          <t>sem:</t>
        </r>
        <r>
          <rPr>
            <sz val="8"/>
            <rFont val="Tahoma"/>
            <family val="0"/>
          </rPr>
          <t xml:space="preserve">
чтобы не возиться с формулой найдено подбором параметра с ячейкой  H93</t>
        </r>
      </text>
    </comment>
    <comment ref="E113" authorId="0">
      <text>
        <r>
          <rPr>
            <b/>
            <sz val="8"/>
            <rFont val="Tahoma"/>
            <family val="0"/>
          </rPr>
          <t>sem:</t>
        </r>
        <r>
          <rPr>
            <sz val="8"/>
            <rFont val="Tahoma"/>
            <family val="0"/>
          </rPr>
          <t xml:space="preserve">
так должно быть</t>
        </r>
      </text>
    </comment>
  </commentList>
</comments>
</file>

<file path=xl/sharedStrings.xml><?xml version="1.0" encoding="utf-8"?>
<sst xmlns="http://schemas.openxmlformats.org/spreadsheetml/2006/main" count="221" uniqueCount="154">
  <si>
    <t>Дайсоншип, Корабль Дайсона</t>
  </si>
  <si>
    <t>м</t>
  </si>
  <si>
    <t>м/с2</t>
  </si>
  <si>
    <t>g</t>
  </si>
  <si>
    <t>м2</t>
  </si>
  <si>
    <t>м/с</t>
  </si>
  <si>
    <t>ед изм.</t>
  </si>
  <si>
    <t>с</t>
  </si>
  <si>
    <t>м3</t>
  </si>
  <si>
    <r>
      <t xml:space="preserve">         </t>
    </r>
    <r>
      <rPr>
        <b/>
        <sz val="10"/>
        <color indexed="12"/>
        <rFont val="Arial"/>
        <family val="2"/>
      </rPr>
      <t>f</t>
    </r>
    <r>
      <rPr>
        <sz val="10"/>
        <rFont val="Arial"/>
        <family val="0"/>
      </rPr>
      <t xml:space="preserve"> принятая сила тяжести</t>
    </r>
  </si>
  <si>
    <r>
      <t xml:space="preserve">         </t>
    </r>
    <r>
      <rPr>
        <b/>
        <sz val="10"/>
        <color indexed="12"/>
        <rFont val="Arial"/>
        <family val="2"/>
      </rPr>
      <t>g</t>
    </r>
    <r>
      <rPr>
        <sz val="10"/>
        <rFont val="Arial"/>
        <family val="0"/>
      </rPr>
      <t xml:space="preserve"> ускорение св.пад. на Земле</t>
    </r>
  </si>
  <si>
    <r>
      <t>R</t>
    </r>
    <r>
      <rPr>
        <sz val="10"/>
        <rFont val="Arial"/>
        <family val="0"/>
      </rPr>
      <t xml:space="preserve"> - внешний радиус жилого тора</t>
    </r>
  </si>
  <si>
    <r>
      <t>A</t>
    </r>
    <r>
      <rPr>
        <sz val="10"/>
        <rFont val="Arial"/>
        <family val="0"/>
      </rPr>
      <t xml:space="preserve"> - площадь жилой палубы</t>
    </r>
  </si>
  <si>
    <r>
      <t>P</t>
    </r>
    <r>
      <rPr>
        <sz val="10"/>
        <rFont val="Arial"/>
        <family val="0"/>
      </rPr>
      <t xml:space="preserve"> - период вращения</t>
    </r>
  </si>
  <si>
    <r>
      <t>H</t>
    </r>
    <r>
      <rPr>
        <sz val="10"/>
        <rFont val="Arial"/>
        <family val="0"/>
      </rPr>
      <t xml:space="preserve"> - высота кольцевой палубы</t>
    </r>
  </si>
  <si>
    <r>
      <t>W</t>
    </r>
    <r>
      <rPr>
        <sz val="10"/>
        <rFont val="Arial"/>
        <family val="0"/>
      </rPr>
      <t xml:space="preserve"> - ширина кольцевой палубы</t>
    </r>
  </si>
  <si>
    <r>
      <t>V</t>
    </r>
    <r>
      <rPr>
        <sz val="10"/>
        <rFont val="Arial"/>
        <family val="0"/>
      </rPr>
      <t xml:space="preserve"> - объем жилой палубы</t>
    </r>
  </si>
  <si>
    <r>
      <t>N</t>
    </r>
    <r>
      <rPr>
        <sz val="10"/>
        <rFont val="Arial"/>
        <family val="0"/>
      </rPr>
      <t xml:space="preserve"> - численность экипажа</t>
    </r>
  </si>
  <si>
    <t>чел.</t>
  </si>
  <si>
    <t>Геометрические размеры жилой палубы</t>
  </si>
  <si>
    <t xml:space="preserve">    площадь на одного члена экипажа</t>
  </si>
  <si>
    <t xml:space="preserve">    объем на одного члена экипажа</t>
  </si>
  <si>
    <t>Масса радиационной защиты</t>
  </si>
  <si>
    <r>
      <t>e</t>
    </r>
    <r>
      <rPr>
        <sz val="10"/>
        <rFont val="Arial"/>
        <family val="0"/>
      </rPr>
      <t xml:space="preserve">  поверхностная плотность радиационной защиты</t>
    </r>
  </si>
  <si>
    <t>кг/м2</t>
  </si>
  <si>
    <t>кг</t>
  </si>
  <si>
    <t>1 полная формула</t>
  </si>
  <si>
    <t xml:space="preserve">2 упрощенная формула </t>
  </si>
  <si>
    <t>3 упрощенная формула</t>
  </si>
  <si>
    <t>кг/чел.</t>
  </si>
  <si>
    <t>Масса защиты на одного человека по полной формуле</t>
  </si>
  <si>
    <t>Масса защиты на одного человека по упрощ. формуле</t>
  </si>
  <si>
    <t>Масса корабля</t>
  </si>
  <si>
    <t>масса биосферы на человека</t>
  </si>
  <si>
    <t>Масса бисферы всего</t>
  </si>
  <si>
    <t>т.</t>
  </si>
  <si>
    <t>масса тора (то есть защита по упрощенной формуле)+ биосфера</t>
  </si>
  <si>
    <t>ИТОГО УПРОЩЕННО:</t>
  </si>
  <si>
    <t>E</t>
  </si>
  <si>
    <t>М</t>
  </si>
  <si>
    <t>Требуемая энергия и конструкция паруса</t>
  </si>
  <si>
    <t>отклонение</t>
  </si>
  <si>
    <t>Астрономическая еденица (расст. от земли до Солнца)</t>
  </si>
  <si>
    <t>С</t>
  </si>
  <si>
    <r>
      <t>C</t>
    </r>
    <r>
      <rPr>
        <sz val="10"/>
        <rFont val="Arial"/>
        <family val="0"/>
      </rPr>
      <t xml:space="preserve"> cкорость света</t>
    </r>
  </si>
  <si>
    <r>
      <t>a</t>
    </r>
    <r>
      <rPr>
        <sz val="10"/>
        <rFont val="Arial"/>
        <family val="0"/>
      </rPr>
      <t xml:space="preserve"> ускорение при разгоне</t>
    </r>
  </si>
  <si>
    <r>
      <t>d</t>
    </r>
    <r>
      <rPr>
        <sz val="10"/>
        <rFont val="Arial"/>
        <family val="0"/>
      </rPr>
      <t xml:space="preserve"> необходимое расстояние</t>
    </r>
  </si>
  <si>
    <r>
      <t>v</t>
    </r>
    <r>
      <rPr>
        <sz val="10"/>
        <rFont val="Arial"/>
        <family val="0"/>
      </rPr>
      <t xml:space="preserve"> конечная скорость</t>
    </r>
  </si>
  <si>
    <t>AU</t>
  </si>
  <si>
    <r>
      <t xml:space="preserve">D </t>
    </r>
    <r>
      <rPr>
        <sz val="10"/>
        <rFont val="Arial"/>
        <family val="2"/>
      </rPr>
      <t>диаметн паруса и излучателя</t>
    </r>
  </si>
  <si>
    <t>км</t>
  </si>
  <si>
    <r>
      <t xml:space="preserve">l </t>
    </r>
    <r>
      <rPr>
        <sz val="10"/>
        <rFont val="Arial"/>
        <family val="2"/>
      </rPr>
      <t>длинна волны микроволнового излучения</t>
    </r>
  </si>
  <si>
    <t>см</t>
  </si>
  <si>
    <t>Энергия</t>
  </si>
  <si>
    <t>Разгон</t>
  </si>
  <si>
    <t>Парус</t>
  </si>
  <si>
    <r>
      <t xml:space="preserve">h </t>
    </r>
    <r>
      <rPr>
        <sz val="10"/>
        <rFont val="Arial"/>
        <family val="2"/>
      </rPr>
      <t>шаг ячейки в гексоганальной сетке</t>
    </r>
  </si>
  <si>
    <t>Поверхностная плотность сетки паруса</t>
  </si>
  <si>
    <r>
      <t>Мs</t>
    </r>
    <r>
      <rPr>
        <sz val="10"/>
        <rFont val="Arial"/>
        <family val="2"/>
      </rPr>
      <t xml:space="preserve"> масса паруса (sails)</t>
    </r>
  </si>
  <si>
    <t>Площадь паруса</t>
  </si>
  <si>
    <r>
      <t>R</t>
    </r>
    <r>
      <rPr>
        <b/>
        <i/>
        <vertAlign val="subscript"/>
        <sz val="10"/>
        <color indexed="12"/>
        <rFont val="Arial"/>
        <family val="2"/>
      </rPr>
      <t>S</t>
    </r>
    <r>
      <rPr>
        <sz val="10"/>
        <rFont val="Arial"/>
        <family val="2"/>
      </rPr>
      <t xml:space="preserve"> радиус паруса</t>
    </r>
  </si>
  <si>
    <t xml:space="preserve">принимаем округленно </t>
  </si>
  <si>
    <t>Фактор, увеличения массы по топливу</t>
  </si>
  <si>
    <t>Сумма ПН+масса паруса</t>
  </si>
  <si>
    <t xml:space="preserve">в ратобе </t>
  </si>
  <si>
    <r>
      <t>M</t>
    </r>
    <r>
      <rPr>
        <b/>
        <i/>
        <sz val="10"/>
        <rFont val="Arial"/>
        <family val="2"/>
      </rPr>
      <t xml:space="preserve"> полная масса корабля в работе</t>
    </r>
  </si>
  <si>
    <r>
      <t xml:space="preserve">Разница на такелаж? (если его масса 1/2 </t>
    </r>
    <r>
      <rPr>
        <b/>
        <i/>
        <sz val="10"/>
        <color indexed="12"/>
        <rFont val="Arial"/>
        <family val="2"/>
      </rPr>
      <t>Ms</t>
    </r>
    <r>
      <rPr>
        <sz val="10"/>
        <rFont val="Arial"/>
        <family val="0"/>
      </rPr>
      <t>)</t>
    </r>
  </si>
  <si>
    <t>Итоговая масса ПН (полезной нагрузки) корабль и топливо</t>
  </si>
  <si>
    <t>Из нее масса только топлиав</t>
  </si>
  <si>
    <t>Мощность необходимая для разгона</t>
  </si>
  <si>
    <t>W</t>
  </si>
  <si>
    <t>TW</t>
  </si>
  <si>
    <r>
      <t>k</t>
    </r>
    <r>
      <rPr>
        <sz val="10"/>
        <rFont val="Arial"/>
        <family val="0"/>
      </rPr>
      <t xml:space="preserve"> - коэфициент отражения (если это он)</t>
    </r>
  </si>
  <si>
    <r>
      <t xml:space="preserve">Если </t>
    </r>
    <r>
      <rPr>
        <b/>
        <i/>
        <sz val="10"/>
        <rFont val="Arial"/>
        <family val="2"/>
      </rPr>
      <t>k</t>
    </r>
    <r>
      <rPr>
        <sz val="10"/>
        <rFont val="Arial"/>
        <family val="0"/>
      </rPr>
      <t xml:space="preserve"> -коэфиц. Отражения (что очень похоже на правду) то правильная формула будет вот такой:</t>
    </r>
  </si>
  <si>
    <t>Но примим оценку принятую в работе как более жесткую</t>
  </si>
  <si>
    <t>Генератор энергия "Станция Кларка"</t>
  </si>
  <si>
    <t>Солнечная постоянна на орбите Земли</t>
  </si>
  <si>
    <t>Вт/м2</t>
  </si>
  <si>
    <r>
      <t>Ее значение на орбите Кларка (как ~</t>
    </r>
    <r>
      <rPr>
        <sz val="10"/>
        <color indexed="12"/>
        <rFont val="Arial"/>
        <family val="2"/>
      </rPr>
      <t>1/R</t>
    </r>
    <r>
      <rPr>
        <vertAlign val="superscript"/>
        <sz val="10"/>
        <color indexed="12"/>
        <rFont val="Arial"/>
        <family val="2"/>
      </rPr>
      <t>2</t>
    </r>
    <r>
      <rPr>
        <sz val="10"/>
        <rFont val="Arial"/>
        <family val="0"/>
      </rPr>
      <t>)</t>
    </r>
  </si>
  <si>
    <t>Орбита Кларка в AU</t>
  </si>
  <si>
    <t>КПД преобразования сввета в микроволны</t>
  </si>
  <si>
    <t>Необходимая световая энергия</t>
  </si>
  <si>
    <t>Энергия излучаемая Солнцем</t>
  </si>
  <si>
    <t>Необходимая часть всей солнечной энергии, одна...</t>
  </si>
  <si>
    <t>Принятая в работе солнечная постоянная на орбите Кларка</t>
  </si>
  <si>
    <t>Площадь коллектора станции (уточн.)</t>
  </si>
  <si>
    <t xml:space="preserve">              радиус коллектора (точно)</t>
  </si>
  <si>
    <r>
      <t>Rk</t>
    </r>
    <r>
      <rPr>
        <sz val="10"/>
        <rFont val="Arial"/>
        <family val="0"/>
      </rPr>
      <t xml:space="preserve">         радиус коллектора по работе</t>
    </r>
  </si>
  <si>
    <t>плотность материала коллектора</t>
  </si>
  <si>
    <t>Масса станции (коллектора)</t>
  </si>
  <si>
    <t>т</t>
  </si>
  <si>
    <t>Секунд в году</t>
  </si>
  <si>
    <t>Срок сторительства станции</t>
  </si>
  <si>
    <t xml:space="preserve"> лет</t>
  </si>
  <si>
    <t>Производительность магнитной пушки</t>
  </si>
  <si>
    <t>Такелаж</t>
  </si>
  <si>
    <r>
      <t>p</t>
    </r>
    <r>
      <rPr>
        <b/>
        <i/>
        <vertAlign val="subscript"/>
        <sz val="10"/>
        <color indexed="12"/>
        <rFont val="Arial"/>
        <family val="2"/>
      </rPr>
      <t>S</t>
    </r>
    <r>
      <rPr>
        <sz val="10"/>
        <rFont val="Arial"/>
        <family val="2"/>
      </rPr>
      <t xml:space="preserve"> плотность материала строп SiC</t>
    </r>
  </si>
  <si>
    <t>кг/м3</t>
  </si>
  <si>
    <r>
      <t>S</t>
    </r>
    <r>
      <rPr>
        <sz val="10"/>
        <rFont val="Arial"/>
        <family val="2"/>
      </rPr>
      <t xml:space="preserve"> предел прочности материала строп (SiC)</t>
    </r>
  </si>
  <si>
    <t>Н/м2</t>
  </si>
  <si>
    <r>
      <t>М</t>
    </r>
    <r>
      <rPr>
        <b/>
        <i/>
        <vertAlign val="subscript"/>
        <sz val="10"/>
        <color indexed="12"/>
        <rFont val="Arial"/>
        <family val="2"/>
      </rPr>
      <t>C</t>
    </r>
    <r>
      <rPr>
        <sz val="10"/>
        <rFont val="Arial"/>
        <family val="0"/>
      </rPr>
      <t xml:space="preserve"> масса такелажа</t>
    </r>
  </si>
  <si>
    <t>упрощенное отношение</t>
  </si>
  <si>
    <r>
      <t>S</t>
    </r>
    <r>
      <rPr>
        <b/>
        <i/>
        <vertAlign val="subscript"/>
        <sz val="10"/>
        <color indexed="12"/>
        <rFont val="Arial"/>
        <family val="2"/>
      </rPr>
      <t xml:space="preserve">0   </t>
    </r>
    <r>
      <rPr>
        <sz val="10"/>
        <rFont val="Arial"/>
        <family val="2"/>
      </rPr>
      <t xml:space="preserve">коэффициент пропорциональности </t>
    </r>
  </si>
  <si>
    <r>
      <t>M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полная масса принятая в работе и не ясно почему</t>
    </r>
  </si>
  <si>
    <t xml:space="preserve">по идее это масса только полезной нагрузки тянушей стропы </t>
  </si>
  <si>
    <t>Масса такелажа по расчету мощности</t>
  </si>
  <si>
    <r>
      <t xml:space="preserve">При такой массе такелажа предел прочтности </t>
    </r>
    <r>
      <rPr>
        <b/>
        <i/>
        <sz val="10"/>
        <color indexed="10"/>
        <rFont val="Arial"/>
        <family val="2"/>
      </rPr>
      <t>S</t>
    </r>
    <r>
      <rPr>
        <sz val="10"/>
        <rFont val="Arial"/>
        <family val="0"/>
      </rPr>
      <t xml:space="preserve"> :</t>
    </r>
  </si>
  <si>
    <r>
      <t xml:space="preserve">у идиального алмаза </t>
    </r>
    <r>
      <rPr>
        <b/>
        <i/>
        <sz val="10"/>
        <color indexed="10"/>
        <rFont val="Arial"/>
        <family val="2"/>
      </rPr>
      <t>1.9E+11</t>
    </r>
  </si>
  <si>
    <t>Гиростабилизация и прочность сетки паруса</t>
  </si>
  <si>
    <r>
      <t>U</t>
    </r>
    <r>
      <rPr>
        <b/>
        <i/>
        <vertAlign val="subscript"/>
        <sz val="10"/>
        <color indexed="12"/>
        <rFont val="Arial"/>
        <family val="2"/>
      </rPr>
      <t>S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скорость вращения паруса</t>
    </r>
  </si>
  <si>
    <r>
      <t>R</t>
    </r>
    <r>
      <rPr>
        <b/>
        <i/>
        <vertAlign val="subscript"/>
        <sz val="10"/>
        <color indexed="12"/>
        <rFont val="Arial"/>
        <family val="2"/>
      </rPr>
      <t>S</t>
    </r>
    <r>
      <rPr>
        <b/>
        <i/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радиус паруса</t>
    </r>
  </si>
  <si>
    <r>
      <t>М</t>
    </r>
    <r>
      <rPr>
        <b/>
        <i/>
        <vertAlign val="subscript"/>
        <sz val="10"/>
        <color indexed="12"/>
        <rFont val="Arial"/>
        <family val="2"/>
      </rPr>
      <t>P</t>
    </r>
    <r>
      <rPr>
        <sz val="10"/>
        <rFont val="Arial"/>
        <family val="2"/>
      </rPr>
      <t xml:space="preserve"> масса полезной нагнузки + такелаж</t>
    </r>
  </si>
  <si>
    <t>в работе:</t>
  </si>
  <si>
    <r>
      <t>S</t>
    </r>
    <r>
      <rPr>
        <b/>
        <i/>
        <vertAlign val="subscript"/>
        <sz val="10"/>
        <color indexed="12"/>
        <rFont val="Arial"/>
        <family val="2"/>
      </rPr>
      <t>M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предел прочности для сетки</t>
    </r>
  </si>
  <si>
    <r>
      <t xml:space="preserve">h </t>
    </r>
    <r>
      <rPr>
        <sz val="10"/>
        <rFont val="Arial"/>
        <family val="2"/>
      </rPr>
      <t>шаг сетки</t>
    </r>
  </si>
  <si>
    <r>
      <t xml:space="preserve">b </t>
    </r>
    <r>
      <rPr>
        <sz val="10"/>
        <rFont val="Arial"/>
        <family val="2"/>
      </rPr>
      <t>толщина (диаметр) провода</t>
    </r>
  </si>
  <si>
    <t>Это самая смутная часть расчета. Получается, что даже в случае идиального карборунда мы имеем массу такелажа в половину от массы корабля + топливо. Исходя из определенной выше необходимой мощности такелаж должен иметь массу всего 2,59E8 то есть меньше десятой от массы корабля!</t>
  </si>
  <si>
    <r>
      <t>R</t>
    </r>
    <r>
      <rPr>
        <b/>
        <i/>
        <vertAlign val="subscript"/>
        <sz val="10"/>
        <color indexed="12"/>
        <rFont val="Arial"/>
        <family val="2"/>
      </rPr>
      <t>С</t>
    </r>
    <r>
      <rPr>
        <b/>
        <i/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радиус кривизны</t>
    </r>
  </si>
  <si>
    <r>
      <t>S</t>
    </r>
    <r>
      <rPr>
        <b/>
        <i/>
        <vertAlign val="subscript"/>
        <sz val="10"/>
        <color indexed="12"/>
        <rFont val="Arial"/>
        <family val="2"/>
      </rPr>
      <t>M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предел прочности для искривленной сетки паруса</t>
    </r>
  </si>
  <si>
    <t>Повреждение сетки</t>
  </si>
  <si>
    <t>угловая скорость</t>
  </si>
  <si>
    <t>рад/с</t>
  </si>
  <si>
    <t>оборот в секунду</t>
  </si>
  <si>
    <t>оборот в час</t>
  </si>
  <si>
    <t>1/с</t>
  </si>
  <si>
    <t>1/час</t>
  </si>
  <si>
    <t>Плотнтость атомов (верхний предел) на см3</t>
  </si>
  <si>
    <t>Доля тяжелых элементов в межзвездной среде</t>
  </si>
  <si>
    <t>Плотность микрометеоритов</t>
  </si>
  <si>
    <t>1/см3</t>
  </si>
  <si>
    <t>Длинна проводнике</t>
  </si>
  <si>
    <t>Толщина проводника</t>
  </si>
  <si>
    <t>Площадь проекции провода</t>
  </si>
  <si>
    <t>см2</t>
  </si>
  <si>
    <t>Дистанция разгона</t>
  </si>
  <si>
    <r>
      <t xml:space="preserve">Вероятность разрыва </t>
    </r>
    <r>
      <rPr>
        <b/>
        <i/>
        <sz val="10"/>
        <rFont val="Arial"/>
        <family val="2"/>
      </rPr>
      <t>Nwd</t>
    </r>
  </si>
  <si>
    <t>Расчет диаметра топливных баков для рисунка</t>
  </si>
  <si>
    <t>Плотность  водородного льда</t>
  </si>
  <si>
    <t>Дейтерий считаем приблизительно в два раза плотней</t>
  </si>
  <si>
    <t>Масса заправленного корабля</t>
  </si>
  <si>
    <t>Масса топлива 3/4</t>
  </si>
  <si>
    <t>Количестов баков</t>
  </si>
  <si>
    <t>шт</t>
  </si>
  <si>
    <t>Обем одного бака</t>
  </si>
  <si>
    <t>Радиус бака</t>
  </si>
  <si>
    <t>Диаметр бака</t>
  </si>
  <si>
    <t>Общий объем замороженного топлива</t>
  </si>
  <si>
    <t>Диаметр тора</t>
  </si>
  <si>
    <t>Шесть цилиндрических бака</t>
  </si>
  <si>
    <t>Тороид</t>
  </si>
  <si>
    <t>Цилиндр</t>
  </si>
  <si>
    <t>Радиус цилиндра</t>
  </si>
  <si>
    <t>Длинна цилиндра</t>
  </si>
  <si>
    <t>Радиус внутреннего отверстия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</si>
</sst>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  <numFmt numFmtId="180" formatCode="#,##0.0"/>
  </numFmts>
  <fonts count="28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color indexed="16"/>
      <name val="Arial"/>
      <family val="2"/>
    </font>
    <font>
      <i/>
      <sz val="10"/>
      <name val="Arial"/>
      <family val="2"/>
    </font>
    <font>
      <b/>
      <i/>
      <sz val="12"/>
      <color indexed="12"/>
      <name val="Arial"/>
      <family val="2"/>
    </font>
    <font>
      <b/>
      <sz val="8"/>
      <color indexed="16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vertAlign val="subscript"/>
      <sz val="10"/>
      <color indexed="12"/>
      <name val="Arial"/>
      <family val="2"/>
    </font>
    <font>
      <b/>
      <sz val="9"/>
      <color indexed="10"/>
      <name val="Arial"/>
      <family val="2"/>
    </font>
    <font>
      <vertAlign val="superscript"/>
      <sz val="10"/>
      <color indexed="12"/>
      <name val="Arial"/>
      <family val="2"/>
    </font>
    <font>
      <b/>
      <sz val="10"/>
      <name val="Verdana"/>
      <family val="2"/>
    </font>
    <font>
      <b/>
      <sz val="8"/>
      <color indexed="17"/>
      <name val="Arial"/>
      <family val="2"/>
    </font>
    <font>
      <sz val="10"/>
      <color indexed="18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9"/>
      <color indexed="55"/>
      <name val="Arial"/>
      <family val="0"/>
    </font>
    <font>
      <sz val="8"/>
      <color indexed="1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/>
    </xf>
    <xf numFmtId="0" fontId="7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/>
    </xf>
    <xf numFmtId="3" fontId="12" fillId="0" borderId="1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9" fontId="13" fillId="0" borderId="0" xfId="0" applyNumberFormat="1" applyFont="1" applyAlignment="1">
      <alignment vertical="center"/>
    </xf>
    <xf numFmtId="3" fontId="12" fillId="0" borderId="2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17" fillId="0" borderId="0" xfId="0" applyFont="1" applyAlignment="1">
      <alignment/>
    </xf>
    <xf numFmtId="179" fontId="4" fillId="0" borderId="0" xfId="0" applyNumberFormat="1" applyFont="1" applyAlignment="1">
      <alignment/>
    </xf>
    <xf numFmtId="0" fontId="12" fillId="2" borderId="1" xfId="0" applyFont="1" applyFill="1" applyBorder="1" applyAlignment="1">
      <alignment/>
    </xf>
    <xf numFmtId="0" fontId="9" fillId="0" borderId="0" xfId="0" applyFont="1" applyAlignment="1">
      <alignment vertical="center" wrapText="1"/>
    </xf>
    <xf numFmtId="0" fontId="3" fillId="2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3" fontId="21" fillId="0" borderId="0" xfId="0" applyNumberFormat="1" applyFont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1" fontId="2" fillId="0" borderId="1" xfId="0" applyNumberFormat="1" applyFont="1" applyBorder="1" applyAlignment="1">
      <alignment vertical="center"/>
    </xf>
    <xf numFmtId="179" fontId="0" fillId="0" borderId="0" xfId="0" applyNumberFormat="1" applyFont="1" applyAlignment="1">
      <alignment/>
    </xf>
    <xf numFmtId="180" fontId="3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center"/>
    </xf>
    <xf numFmtId="0" fontId="26" fillId="0" borderId="0" xfId="0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../A%20MANNED%20INTERSTELLAR%20VESSEL%20USING%20MICROWAVE%20PROPULSION%20A%20DYSONSHIP.files/AMIVUMPAD_Fig01.gif" TargetMode="External" /><Relationship Id="rId2" Type="http://schemas.openxmlformats.org/officeDocument/2006/relationships/image" Target="file://D:\_Projects\Light_Sails\Bem_Sail\A MANNED INTERSTELLAR VESSEL USING MICROWAVE PROPULSION A DYSONSHIP.files\AMIVUMPAD_Fig02.gif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Relationship Id="rId9" Type="http://schemas.openxmlformats.org/officeDocument/2006/relationships/image" Target="../media/image11.wmf" /><Relationship Id="rId10" Type="http://schemas.openxmlformats.org/officeDocument/2006/relationships/image" Target="../media/image10.wmf" /><Relationship Id="rId11" Type="http://schemas.openxmlformats.org/officeDocument/2006/relationships/image" Target="../media/image12.wmf" /><Relationship Id="rId12" Type="http://schemas.openxmlformats.org/officeDocument/2006/relationships/image" Target="../media/image14.wmf" /><Relationship Id="rId13" Type="http://schemas.openxmlformats.org/officeDocument/2006/relationships/image" Target="../media/image15.wmf" /><Relationship Id="rId14" Type="http://schemas.openxmlformats.org/officeDocument/2006/relationships/image" Target="../media/image1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3</xdr:row>
      <xdr:rowOff>85725</xdr:rowOff>
    </xdr:from>
    <xdr:to>
      <xdr:col>10</xdr:col>
      <xdr:colOff>276225</xdr:colOff>
      <xdr:row>11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10275" y="571500"/>
          <a:ext cx="16954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102</xdr:row>
      <xdr:rowOff>9525</xdr:rowOff>
    </xdr:from>
    <xdr:to>
      <xdr:col>11</xdr:col>
      <xdr:colOff>238125</xdr:colOff>
      <xdr:row>113</xdr:row>
      <xdr:rowOff>47625</xdr:rowOff>
    </xdr:to>
    <xdr:pic>
      <xdr:nvPicPr>
        <xdr:cNvPr id="2" name="Picture 68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486400" y="20145375"/>
          <a:ext cx="28479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126</xdr:row>
      <xdr:rowOff>85725</xdr:rowOff>
    </xdr:from>
    <xdr:to>
      <xdr:col>10</xdr:col>
      <xdr:colOff>333375</xdr:colOff>
      <xdr:row>135</xdr:row>
      <xdr:rowOff>95250</xdr:rowOff>
    </xdr:to>
    <xdr:grpSp>
      <xdr:nvGrpSpPr>
        <xdr:cNvPr id="3" name="Group 214"/>
        <xdr:cNvGrpSpPr>
          <a:grpSpLocks noChangeAspect="1"/>
        </xdr:cNvGrpSpPr>
      </xdr:nvGrpSpPr>
      <xdr:grpSpPr>
        <a:xfrm>
          <a:off x="6143625" y="25279350"/>
          <a:ext cx="1619250" cy="1466850"/>
          <a:chOff x="740" y="2655"/>
          <a:chExt cx="85" cy="77"/>
        </a:xfrm>
        <a:solidFill>
          <a:srgbClr val="FFFFFF"/>
        </a:solidFill>
      </xdr:grpSpPr>
      <xdr:sp>
        <xdr:nvSpPr>
          <xdr:cNvPr id="4" name="Oval 197"/>
          <xdr:cNvSpPr>
            <a:spLocks noChangeAspect="1"/>
          </xdr:cNvSpPr>
        </xdr:nvSpPr>
        <xdr:spPr>
          <a:xfrm>
            <a:off x="784" y="2655"/>
            <a:ext cx="28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199"/>
          <xdr:cNvSpPr>
            <a:spLocks noChangeAspect="1"/>
          </xdr:cNvSpPr>
        </xdr:nvSpPr>
        <xdr:spPr>
          <a:xfrm>
            <a:off x="797" y="2681"/>
            <a:ext cx="28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200"/>
          <xdr:cNvSpPr>
            <a:spLocks noChangeAspect="1"/>
          </xdr:cNvSpPr>
        </xdr:nvSpPr>
        <xdr:spPr>
          <a:xfrm>
            <a:off x="740" y="2680"/>
            <a:ext cx="28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201"/>
          <xdr:cNvSpPr>
            <a:spLocks noChangeAspect="1"/>
          </xdr:cNvSpPr>
        </xdr:nvSpPr>
        <xdr:spPr>
          <a:xfrm>
            <a:off x="755" y="2655"/>
            <a:ext cx="28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202"/>
          <xdr:cNvSpPr>
            <a:spLocks noChangeAspect="1"/>
          </xdr:cNvSpPr>
        </xdr:nvSpPr>
        <xdr:spPr>
          <a:xfrm>
            <a:off x="781" y="2703"/>
            <a:ext cx="28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204"/>
          <xdr:cNvSpPr>
            <a:spLocks noChangeAspect="1"/>
          </xdr:cNvSpPr>
        </xdr:nvSpPr>
        <xdr:spPr>
          <a:xfrm>
            <a:off x="752" y="2704"/>
            <a:ext cx="28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400050</xdr:colOff>
      <xdr:row>126</xdr:row>
      <xdr:rowOff>66675</xdr:rowOff>
    </xdr:from>
    <xdr:to>
      <xdr:col>7</xdr:col>
      <xdr:colOff>333375</xdr:colOff>
      <xdr:row>129</xdr:row>
      <xdr:rowOff>114300</xdr:rowOff>
    </xdr:to>
    <xdr:sp>
      <xdr:nvSpPr>
        <xdr:cNvPr id="10" name="Oval 198"/>
        <xdr:cNvSpPr>
          <a:spLocks noChangeAspect="1"/>
        </xdr:cNvSpPr>
      </xdr:nvSpPr>
      <xdr:spPr>
        <a:xfrm>
          <a:off x="5534025" y="25260300"/>
          <a:ext cx="533400" cy="533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132</xdr:row>
      <xdr:rowOff>66675</xdr:rowOff>
    </xdr:from>
    <xdr:to>
      <xdr:col>7</xdr:col>
      <xdr:colOff>333375</xdr:colOff>
      <xdr:row>135</xdr:row>
      <xdr:rowOff>114300</xdr:rowOff>
    </xdr:to>
    <xdr:sp>
      <xdr:nvSpPr>
        <xdr:cNvPr id="11" name="Oval 205"/>
        <xdr:cNvSpPr>
          <a:spLocks noChangeAspect="1"/>
        </xdr:cNvSpPr>
      </xdr:nvSpPr>
      <xdr:spPr>
        <a:xfrm>
          <a:off x="5534025" y="26231850"/>
          <a:ext cx="533400" cy="533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129</xdr:row>
      <xdr:rowOff>76200</xdr:rowOff>
    </xdr:from>
    <xdr:to>
      <xdr:col>7</xdr:col>
      <xdr:colOff>333375</xdr:colOff>
      <xdr:row>132</xdr:row>
      <xdr:rowOff>123825</xdr:rowOff>
    </xdr:to>
    <xdr:sp>
      <xdr:nvSpPr>
        <xdr:cNvPr id="12" name="Oval 206"/>
        <xdr:cNvSpPr>
          <a:spLocks noChangeAspect="1"/>
        </xdr:cNvSpPr>
      </xdr:nvSpPr>
      <xdr:spPr>
        <a:xfrm>
          <a:off x="5534025" y="25755600"/>
          <a:ext cx="533400" cy="533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129</xdr:row>
      <xdr:rowOff>9525</xdr:rowOff>
    </xdr:from>
    <xdr:to>
      <xdr:col>6</xdr:col>
      <xdr:colOff>390525</xdr:colOff>
      <xdr:row>133</xdr:row>
      <xdr:rowOff>9525</xdr:rowOff>
    </xdr:to>
    <xdr:sp>
      <xdr:nvSpPr>
        <xdr:cNvPr id="13" name="Rectangle 207"/>
        <xdr:cNvSpPr>
          <a:spLocks/>
        </xdr:cNvSpPr>
      </xdr:nvSpPr>
      <xdr:spPr>
        <a:xfrm>
          <a:off x="5305425" y="25688925"/>
          <a:ext cx="219075" cy="647700"/>
        </a:xfrm>
        <a:prstGeom prst="rect">
          <a:avLst/>
        </a:prstGeom>
        <a:solidFill>
          <a:srgbClr val="FFFFFF"/>
        </a:solidFill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128</xdr:row>
      <xdr:rowOff>152400</xdr:rowOff>
    </xdr:from>
    <xdr:to>
      <xdr:col>9</xdr:col>
      <xdr:colOff>333375</xdr:colOff>
      <xdr:row>132</xdr:row>
      <xdr:rowOff>152400</xdr:rowOff>
    </xdr:to>
    <xdr:sp>
      <xdr:nvSpPr>
        <xdr:cNvPr id="14" name="Oval 209"/>
        <xdr:cNvSpPr>
          <a:spLocks/>
        </xdr:cNvSpPr>
      </xdr:nvSpPr>
      <xdr:spPr>
        <a:xfrm>
          <a:off x="6629400" y="25669875"/>
          <a:ext cx="647700" cy="647700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131</xdr:row>
      <xdr:rowOff>9525</xdr:rowOff>
    </xdr:from>
    <xdr:to>
      <xdr:col>10</xdr:col>
      <xdr:colOff>457200</xdr:colOff>
      <xdr:row>131</xdr:row>
      <xdr:rowOff>9525</xdr:rowOff>
    </xdr:to>
    <xdr:sp>
      <xdr:nvSpPr>
        <xdr:cNvPr id="15" name="Line 210"/>
        <xdr:cNvSpPr>
          <a:spLocks/>
        </xdr:cNvSpPr>
      </xdr:nvSpPr>
      <xdr:spPr>
        <a:xfrm>
          <a:off x="5248275" y="260127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138</xdr:row>
      <xdr:rowOff>76200</xdr:rowOff>
    </xdr:from>
    <xdr:to>
      <xdr:col>6</xdr:col>
      <xdr:colOff>428625</xdr:colOff>
      <xdr:row>142</xdr:row>
      <xdr:rowOff>76200</xdr:rowOff>
    </xdr:to>
    <xdr:sp>
      <xdr:nvSpPr>
        <xdr:cNvPr id="16" name="Rectangle 211"/>
        <xdr:cNvSpPr>
          <a:spLocks/>
        </xdr:cNvSpPr>
      </xdr:nvSpPr>
      <xdr:spPr>
        <a:xfrm>
          <a:off x="5343525" y="27212925"/>
          <a:ext cx="219075" cy="647700"/>
        </a:xfrm>
        <a:prstGeom prst="rect">
          <a:avLst/>
        </a:prstGeom>
        <a:solidFill>
          <a:srgbClr val="FFFFFF"/>
        </a:solidFill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137</xdr:row>
      <xdr:rowOff>0</xdr:rowOff>
    </xdr:from>
    <xdr:to>
      <xdr:col>7</xdr:col>
      <xdr:colOff>438150</xdr:colOff>
      <xdr:row>140</xdr:row>
      <xdr:rowOff>85725</xdr:rowOff>
    </xdr:to>
    <xdr:sp>
      <xdr:nvSpPr>
        <xdr:cNvPr id="17" name="Oval 212"/>
        <xdr:cNvSpPr>
          <a:spLocks/>
        </xdr:cNvSpPr>
      </xdr:nvSpPr>
      <xdr:spPr>
        <a:xfrm>
          <a:off x="5600700" y="26974800"/>
          <a:ext cx="571500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126</xdr:row>
      <xdr:rowOff>0</xdr:rowOff>
    </xdr:from>
    <xdr:to>
      <xdr:col>9</xdr:col>
      <xdr:colOff>9525</xdr:colOff>
      <xdr:row>136</xdr:row>
      <xdr:rowOff>95250</xdr:rowOff>
    </xdr:to>
    <xdr:sp>
      <xdr:nvSpPr>
        <xdr:cNvPr id="18" name="Line 215"/>
        <xdr:cNvSpPr>
          <a:spLocks/>
        </xdr:cNvSpPr>
      </xdr:nvSpPr>
      <xdr:spPr>
        <a:xfrm>
          <a:off x="6953250" y="2519362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140</xdr:row>
      <xdr:rowOff>95250</xdr:rowOff>
    </xdr:from>
    <xdr:to>
      <xdr:col>7</xdr:col>
      <xdr:colOff>428625</xdr:colOff>
      <xdr:row>144</xdr:row>
      <xdr:rowOff>19050</xdr:rowOff>
    </xdr:to>
    <xdr:sp>
      <xdr:nvSpPr>
        <xdr:cNvPr id="19" name="Oval 216"/>
        <xdr:cNvSpPr>
          <a:spLocks/>
        </xdr:cNvSpPr>
      </xdr:nvSpPr>
      <xdr:spPr>
        <a:xfrm>
          <a:off x="5591175" y="27555825"/>
          <a:ext cx="571500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137</xdr:row>
      <xdr:rowOff>0</xdr:rowOff>
    </xdr:from>
    <xdr:to>
      <xdr:col>10</xdr:col>
      <xdr:colOff>161925</xdr:colOff>
      <xdr:row>144</xdr:row>
      <xdr:rowOff>66675</xdr:rowOff>
    </xdr:to>
    <xdr:sp>
      <xdr:nvSpPr>
        <xdr:cNvPr id="20" name="Oval 217"/>
        <xdr:cNvSpPr>
          <a:spLocks/>
        </xdr:cNvSpPr>
      </xdr:nvSpPr>
      <xdr:spPr>
        <a:xfrm>
          <a:off x="6391275" y="26974800"/>
          <a:ext cx="1200150" cy="1200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138</xdr:row>
      <xdr:rowOff>123825</xdr:rowOff>
    </xdr:from>
    <xdr:to>
      <xdr:col>9</xdr:col>
      <xdr:colOff>381000</xdr:colOff>
      <xdr:row>142</xdr:row>
      <xdr:rowOff>123825</xdr:rowOff>
    </xdr:to>
    <xdr:sp>
      <xdr:nvSpPr>
        <xdr:cNvPr id="21" name="Oval 218"/>
        <xdr:cNvSpPr>
          <a:spLocks/>
        </xdr:cNvSpPr>
      </xdr:nvSpPr>
      <xdr:spPr>
        <a:xfrm>
          <a:off x="6677025" y="27260550"/>
          <a:ext cx="647700" cy="647700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146</xdr:row>
      <xdr:rowOff>0</xdr:rowOff>
    </xdr:from>
    <xdr:to>
      <xdr:col>9</xdr:col>
      <xdr:colOff>95250</xdr:colOff>
      <xdr:row>150</xdr:row>
      <xdr:rowOff>0</xdr:rowOff>
    </xdr:to>
    <xdr:sp>
      <xdr:nvSpPr>
        <xdr:cNvPr id="22" name="Rectangle 219"/>
        <xdr:cNvSpPr>
          <a:spLocks/>
        </xdr:cNvSpPr>
      </xdr:nvSpPr>
      <xdr:spPr>
        <a:xfrm>
          <a:off x="5600700" y="28432125"/>
          <a:ext cx="14382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146</xdr:row>
      <xdr:rowOff>0</xdr:rowOff>
    </xdr:from>
    <xdr:to>
      <xdr:col>6</xdr:col>
      <xdr:colOff>419100</xdr:colOff>
      <xdr:row>150</xdr:row>
      <xdr:rowOff>0</xdr:rowOff>
    </xdr:to>
    <xdr:sp>
      <xdr:nvSpPr>
        <xdr:cNvPr id="23" name="Rectangle 220"/>
        <xdr:cNvSpPr>
          <a:spLocks/>
        </xdr:cNvSpPr>
      </xdr:nvSpPr>
      <xdr:spPr>
        <a:xfrm>
          <a:off x="5334000" y="28432125"/>
          <a:ext cx="219075" cy="647700"/>
        </a:xfrm>
        <a:prstGeom prst="rect">
          <a:avLst/>
        </a:prstGeom>
        <a:solidFill>
          <a:srgbClr val="FFFFFF"/>
        </a:solidFill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136</xdr:row>
      <xdr:rowOff>19050</xdr:rowOff>
    </xdr:from>
    <xdr:to>
      <xdr:col>9</xdr:col>
      <xdr:colOff>57150</xdr:colOff>
      <xdr:row>145</xdr:row>
      <xdr:rowOff>47625</xdr:rowOff>
    </xdr:to>
    <xdr:sp>
      <xdr:nvSpPr>
        <xdr:cNvPr id="24" name="Line 221"/>
        <xdr:cNvSpPr>
          <a:spLocks/>
        </xdr:cNvSpPr>
      </xdr:nvSpPr>
      <xdr:spPr>
        <a:xfrm>
          <a:off x="7000875" y="26831925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140</xdr:row>
      <xdr:rowOff>114300</xdr:rowOff>
    </xdr:from>
    <xdr:to>
      <xdr:col>10</xdr:col>
      <xdr:colOff>571500</xdr:colOff>
      <xdr:row>140</xdr:row>
      <xdr:rowOff>123825</xdr:rowOff>
    </xdr:to>
    <xdr:sp>
      <xdr:nvSpPr>
        <xdr:cNvPr id="25" name="Line 222"/>
        <xdr:cNvSpPr>
          <a:spLocks/>
        </xdr:cNvSpPr>
      </xdr:nvSpPr>
      <xdr:spPr>
        <a:xfrm>
          <a:off x="6191250" y="27574875"/>
          <a:ext cx="1809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147</xdr:row>
      <xdr:rowOff>152400</xdr:rowOff>
    </xdr:from>
    <xdr:to>
      <xdr:col>10</xdr:col>
      <xdr:colOff>200025</xdr:colOff>
      <xdr:row>147</xdr:row>
      <xdr:rowOff>152400</xdr:rowOff>
    </xdr:to>
    <xdr:sp>
      <xdr:nvSpPr>
        <xdr:cNvPr id="26" name="Line 223"/>
        <xdr:cNvSpPr>
          <a:spLocks/>
        </xdr:cNvSpPr>
      </xdr:nvSpPr>
      <xdr:spPr>
        <a:xfrm>
          <a:off x="5200650" y="287464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146</xdr:row>
      <xdr:rowOff>9525</xdr:rowOff>
    </xdr:from>
    <xdr:to>
      <xdr:col>10</xdr:col>
      <xdr:colOff>419100</xdr:colOff>
      <xdr:row>149</xdr:row>
      <xdr:rowOff>152400</xdr:rowOff>
    </xdr:to>
    <xdr:sp>
      <xdr:nvSpPr>
        <xdr:cNvPr id="27" name="Oval 224"/>
        <xdr:cNvSpPr>
          <a:spLocks/>
        </xdr:cNvSpPr>
      </xdr:nvSpPr>
      <xdr:spPr>
        <a:xfrm>
          <a:off x="7229475" y="28441650"/>
          <a:ext cx="619125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147</xdr:row>
      <xdr:rowOff>114300</xdr:rowOff>
    </xdr:from>
    <xdr:to>
      <xdr:col>9</xdr:col>
      <xdr:colOff>123825</xdr:colOff>
      <xdr:row>148</xdr:row>
      <xdr:rowOff>47625</xdr:rowOff>
    </xdr:to>
    <xdr:sp>
      <xdr:nvSpPr>
        <xdr:cNvPr id="28" name="Rectangle 225"/>
        <xdr:cNvSpPr>
          <a:spLocks/>
        </xdr:cNvSpPr>
      </xdr:nvSpPr>
      <xdr:spPr>
        <a:xfrm>
          <a:off x="5553075" y="28708350"/>
          <a:ext cx="15144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3"/>
  <sheetViews>
    <sheetView tabSelected="1" workbookViewId="0" topLeftCell="A1">
      <pane ySplit="2" topLeftCell="BM3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2.28125" style="0" customWidth="1"/>
    <col min="2" max="2" width="50.00390625" style="0" customWidth="1"/>
    <col min="3" max="3" width="4.7109375" style="0" customWidth="1"/>
    <col min="4" max="4" width="4.140625" style="0" customWidth="1"/>
    <col min="5" max="5" width="8.8515625" style="0" customWidth="1"/>
    <col min="6" max="6" width="7.00390625" style="1" customWidth="1"/>
    <col min="7" max="7" width="9.00390625" style="0" customWidth="1"/>
    <col min="8" max="8" width="8.8515625" style="0" customWidth="1"/>
    <col min="9" max="9" width="9.28125" style="0" customWidth="1"/>
    <col min="10" max="10" width="7.28125" style="0" customWidth="1"/>
    <col min="11" max="11" width="10.00390625" style="0" bestFit="1" customWidth="1"/>
    <col min="12" max="12" width="5.140625" style="0" customWidth="1"/>
    <col min="13" max="13" width="8.57421875" style="0" customWidth="1"/>
  </cols>
  <sheetData>
    <row r="1" ht="12.75"/>
    <row r="2" spans="2:13" ht="12.75">
      <c r="B2" t="s">
        <v>0</v>
      </c>
      <c r="C2" s="1" t="s">
        <v>39</v>
      </c>
      <c r="D2" s="1" t="s">
        <v>38</v>
      </c>
      <c r="F2" s="1" t="s">
        <v>6</v>
      </c>
      <c r="G2" s="1" t="s">
        <v>1</v>
      </c>
      <c r="H2" s="1" t="s">
        <v>25</v>
      </c>
      <c r="I2" s="1" t="s">
        <v>4</v>
      </c>
      <c r="J2" s="1" t="s">
        <v>8</v>
      </c>
      <c r="K2" s="1" t="s">
        <v>5</v>
      </c>
      <c r="L2" s="1" t="s">
        <v>2</v>
      </c>
      <c r="M2" s="1" t="s">
        <v>70</v>
      </c>
    </row>
    <row r="3" ht="12.75"/>
    <row r="4" spans="2:6" ht="12.75">
      <c r="B4" s="2" t="s">
        <v>17</v>
      </c>
      <c r="E4" s="3">
        <v>500</v>
      </c>
      <c r="F4" s="1" t="s">
        <v>18</v>
      </c>
    </row>
    <row r="5" spans="2:5" ht="12.75">
      <c r="B5" s="2"/>
      <c r="E5" s="3"/>
    </row>
    <row r="6" ht="12.75">
      <c r="B6" s="7" t="s">
        <v>19</v>
      </c>
    </row>
    <row r="7" spans="2:12" ht="12.75">
      <c r="B7" t="s">
        <v>9</v>
      </c>
      <c r="E7" s="3">
        <v>0.1</v>
      </c>
      <c r="F7" s="1" t="s">
        <v>3</v>
      </c>
      <c r="L7" s="20">
        <f>E7*E8</f>
        <v>0.9800000000000001</v>
      </c>
    </row>
    <row r="8" spans="2:6" ht="12.75">
      <c r="B8" t="s">
        <v>10</v>
      </c>
      <c r="E8" s="15">
        <v>9.8</v>
      </c>
      <c r="F8" s="1" t="s">
        <v>2</v>
      </c>
    </row>
    <row r="9" spans="2:6" ht="12.75">
      <c r="B9" s="2" t="s">
        <v>13</v>
      </c>
      <c r="E9" s="3">
        <v>60</v>
      </c>
      <c r="F9" s="1" t="s">
        <v>7</v>
      </c>
    </row>
    <row r="10" spans="2:8" ht="12.75">
      <c r="B10" s="2" t="s">
        <v>11</v>
      </c>
      <c r="E10" s="3">
        <v>90</v>
      </c>
      <c r="F10" s="1" t="s">
        <v>1</v>
      </c>
      <c r="G10" s="5">
        <f>E7*E8*(E9/(2*PI()))^2</f>
        <v>89.36528397254195</v>
      </c>
      <c r="H10" s="9"/>
    </row>
    <row r="11" spans="2:6" ht="12.75">
      <c r="B11" s="2" t="s">
        <v>15</v>
      </c>
      <c r="E11" s="3">
        <v>62</v>
      </c>
      <c r="F11" s="1" t="s">
        <v>1</v>
      </c>
    </row>
    <row r="12" spans="2:6" ht="12.75">
      <c r="B12" s="2" t="s">
        <v>14</v>
      </c>
      <c r="E12" s="3">
        <v>28</v>
      </c>
      <c r="F12" s="1" t="s">
        <v>1</v>
      </c>
    </row>
    <row r="13" spans="2:9" ht="12.75">
      <c r="B13" s="2" t="s">
        <v>12</v>
      </c>
      <c r="F13" s="1" t="s">
        <v>4</v>
      </c>
      <c r="I13" s="4">
        <f>2*PI()*E10*E11</f>
        <v>35060.17401406209</v>
      </c>
    </row>
    <row r="14" spans="2:10" ht="12.75">
      <c r="B14" s="2" t="s">
        <v>16</v>
      </c>
      <c r="J14" s="4">
        <f>PI()*E11*(2*E10*E12-E12*E12)</f>
        <v>828978.3366880459</v>
      </c>
    </row>
    <row r="15" spans="2:9" ht="12.75">
      <c r="B15" s="6" t="s">
        <v>20</v>
      </c>
      <c r="I15" s="4">
        <f>I13/E4</f>
        <v>70.12034802812418</v>
      </c>
    </row>
    <row r="16" spans="2:10" ht="12.75">
      <c r="B16" s="6" t="s">
        <v>21</v>
      </c>
      <c r="J16" s="4">
        <f>J14/E4</f>
        <v>1657.9566733760917</v>
      </c>
    </row>
    <row r="17" ht="12.75"/>
    <row r="18" ht="12.75">
      <c r="B18" s="7" t="s">
        <v>22</v>
      </c>
    </row>
    <row r="19" spans="2:6" ht="15">
      <c r="B19" s="8" t="s">
        <v>23</v>
      </c>
      <c r="E19" s="3">
        <v>5000</v>
      </c>
      <c r="F19" s="1" t="s">
        <v>24</v>
      </c>
    </row>
    <row r="20" ht="12.75"/>
    <row r="21" spans="2:8" s="10" customFormat="1" ht="34.5" customHeight="1">
      <c r="B21" s="10" t="s">
        <v>26</v>
      </c>
      <c r="E21" s="12">
        <f>H21/1000</f>
        <v>429769.8750110837</v>
      </c>
      <c r="F21" s="11" t="s">
        <v>35</v>
      </c>
      <c r="H21" s="20">
        <f>2*PI()*E19*E10*(2-(E12/E10))*(E11+E12)</f>
        <v>429769875.0110837</v>
      </c>
    </row>
    <row r="22" spans="2:9" s="10" customFormat="1" ht="12.75">
      <c r="B22" s="10" t="s">
        <v>30</v>
      </c>
      <c r="E22" s="22">
        <f>H21/E4</f>
        <v>859539.7500221675</v>
      </c>
      <c r="F22" s="11" t="s">
        <v>29</v>
      </c>
      <c r="I22" t="s">
        <v>41</v>
      </c>
    </row>
    <row r="23" spans="2:9" s="10" customFormat="1" ht="42.75" customHeight="1">
      <c r="B23" s="10" t="s">
        <v>27</v>
      </c>
      <c r="E23" s="12">
        <f>H23/1000</f>
        <v>371731.6650621286</v>
      </c>
      <c r="F23" s="11" t="s">
        <v>35</v>
      </c>
      <c r="H23" s="20">
        <f>2*E19*(I13+(J14/I13)*E7*E8*(E9/(2*PI()))^2)</f>
        <v>371731665.0621286</v>
      </c>
      <c r="I23" s="29">
        <f>(H21-H23)/H21</f>
        <v>0.13504485382428985</v>
      </c>
    </row>
    <row r="24" spans="2:9" s="10" customFormat="1" ht="22.5" customHeight="1">
      <c r="B24" s="10" t="s">
        <v>28</v>
      </c>
      <c r="E24" s="12">
        <f>H24/1000</f>
        <v>511000</v>
      </c>
      <c r="F24" s="11" t="s">
        <v>35</v>
      </c>
      <c r="H24" s="20">
        <f>140*E19*(E4+230)</f>
        <v>511000000</v>
      </c>
      <c r="I24" s="29">
        <f>(H21-H24)/H21</f>
        <v>-0.18900841988243444</v>
      </c>
    </row>
    <row r="25" spans="2:6" ht="12.75">
      <c r="B25" s="10" t="s">
        <v>31</v>
      </c>
      <c r="E25" s="22">
        <f>H24/E4</f>
        <v>1022000</v>
      </c>
      <c r="F25" s="11" t="s">
        <v>29</v>
      </c>
    </row>
    <row r="26" ht="12.75"/>
    <row r="27" ht="12.75">
      <c r="B27" s="7" t="s">
        <v>32</v>
      </c>
    </row>
    <row r="28" spans="2:6" ht="12.75">
      <c r="B28" s="10" t="s">
        <v>33</v>
      </c>
      <c r="C28">
        <v>5</v>
      </c>
      <c r="D28">
        <v>4</v>
      </c>
      <c r="E28" s="3">
        <f>C28*10^D28</f>
        <v>50000</v>
      </c>
      <c r="F28" s="1" t="s">
        <v>29</v>
      </c>
    </row>
    <row r="29" spans="2:8" ht="12.75">
      <c r="B29" s="10" t="s">
        <v>34</v>
      </c>
      <c r="E29" s="12">
        <f>H29/1000</f>
        <v>25000</v>
      </c>
      <c r="F29" s="1" t="s">
        <v>35</v>
      </c>
      <c r="H29" s="20">
        <f>E28*E4</f>
        <v>25000000</v>
      </c>
    </row>
    <row r="30" spans="2:8" s="10" customFormat="1" ht="25.5">
      <c r="B30" s="13" t="s">
        <v>36</v>
      </c>
      <c r="E30"/>
      <c r="F30"/>
      <c r="G30"/>
      <c r="H30" s="20">
        <f>H29+H24</f>
        <v>536000000</v>
      </c>
    </row>
    <row r="31" spans="2:6" ht="12.75">
      <c r="B31" t="s">
        <v>37</v>
      </c>
      <c r="C31">
        <v>5.4</v>
      </c>
      <c r="D31">
        <v>8</v>
      </c>
      <c r="E31" s="23">
        <f>C31*10^D31</f>
        <v>540000000</v>
      </c>
      <c r="F31" t="s">
        <v>25</v>
      </c>
    </row>
    <row r="32" spans="2:5" ht="12.75">
      <c r="B32" t="s">
        <v>62</v>
      </c>
      <c r="E32" s="3">
        <v>4</v>
      </c>
    </row>
    <row r="33" spans="2:8" ht="12.75">
      <c r="B33" t="s">
        <v>67</v>
      </c>
      <c r="E33" s="12">
        <f>H33/1000</f>
        <v>2160000</v>
      </c>
      <c r="F33" s="1" t="s">
        <v>35</v>
      </c>
      <c r="H33" s="38">
        <f>E31*E32</f>
        <v>2160000000</v>
      </c>
    </row>
    <row r="34" spans="2:8" ht="12.75">
      <c r="B34" t="s">
        <v>68</v>
      </c>
      <c r="E34" s="12">
        <f>H34/1000</f>
        <v>1620000</v>
      </c>
      <c r="F34" s="1" t="s">
        <v>35</v>
      </c>
      <c r="H34" s="20">
        <f>E31*3</f>
        <v>1620000000</v>
      </c>
    </row>
    <row r="35" ht="12.75"/>
    <row r="36" ht="12.75">
      <c r="B36" s="7" t="s">
        <v>40</v>
      </c>
    </row>
    <row r="37" ht="12.75">
      <c r="B37" s="7" t="s">
        <v>54</v>
      </c>
    </row>
    <row r="38" spans="2:11" ht="12.75">
      <c r="B38" s="17" t="s">
        <v>47</v>
      </c>
      <c r="E38" s="23">
        <v>0.1</v>
      </c>
      <c r="F38" s="1" t="s">
        <v>43</v>
      </c>
      <c r="K38" s="12">
        <f>E39*E38</f>
        <v>30000000</v>
      </c>
    </row>
    <row r="39" spans="2:11" ht="12.75">
      <c r="B39" s="2" t="s">
        <v>44</v>
      </c>
      <c r="C39">
        <v>3</v>
      </c>
      <c r="D39">
        <v>8</v>
      </c>
      <c r="E39" s="15">
        <f>C39*10^D39</f>
        <v>300000000</v>
      </c>
      <c r="F39" s="1" t="s">
        <v>5</v>
      </c>
      <c r="K39" s="12">
        <f>E39</f>
        <v>300000000</v>
      </c>
    </row>
    <row r="40" spans="2:6" ht="12.75">
      <c r="B40" s="17" t="s">
        <v>45</v>
      </c>
      <c r="E40" s="3">
        <v>1</v>
      </c>
      <c r="F40" s="1" t="s">
        <v>2</v>
      </c>
    </row>
    <row r="41" spans="2:6" ht="12.75">
      <c r="B41" t="s">
        <v>42</v>
      </c>
      <c r="C41">
        <v>1.49</v>
      </c>
      <c r="D41">
        <v>11</v>
      </c>
      <c r="E41" s="15">
        <f>C41*10^D41</f>
        <v>149000000000</v>
      </c>
      <c r="F41" s="1" t="s">
        <v>1</v>
      </c>
    </row>
    <row r="42" spans="2:9" s="10" customFormat="1" ht="37.5" customHeight="1">
      <c r="B42" s="18" t="s">
        <v>46</v>
      </c>
      <c r="E42" s="24">
        <f>G42/E41</f>
        <v>3020.1342281879197</v>
      </c>
      <c r="F42" s="11" t="s">
        <v>48</v>
      </c>
      <c r="G42" s="20">
        <f>K38*K38/(2*E40)</f>
        <v>450000000000000</v>
      </c>
      <c r="I42" s="14"/>
    </row>
    <row r="43" spans="2:9" s="10" customFormat="1" ht="12.75">
      <c r="B43" s="7" t="s">
        <v>55</v>
      </c>
      <c r="E43" s="21"/>
      <c r="F43" s="11"/>
      <c r="H43" s="19"/>
      <c r="I43" s="14"/>
    </row>
    <row r="44" spans="2:9" s="10" customFormat="1" ht="12.75">
      <c r="B44" s="18" t="s">
        <v>51</v>
      </c>
      <c r="E44" s="3">
        <v>3</v>
      </c>
      <c r="F44" s="11" t="s">
        <v>52</v>
      </c>
      <c r="G44" s="20">
        <f>E44/100</f>
        <v>0.03</v>
      </c>
      <c r="H44" s="19"/>
      <c r="I44" s="14"/>
    </row>
    <row r="45" spans="2:9" s="10" customFormat="1" ht="18.75" customHeight="1">
      <c r="B45" s="18" t="s">
        <v>49</v>
      </c>
      <c r="E45" s="30">
        <f>G45/1000</f>
        <v>5739.337940912697</v>
      </c>
      <c r="F45" s="11" t="s">
        <v>50</v>
      </c>
      <c r="G45" s="12">
        <f>SQRT(2.44*G44*G42)</f>
        <v>5739337.940912697</v>
      </c>
      <c r="I45" s="14"/>
    </row>
    <row r="46" spans="2:9" s="10" customFormat="1" ht="13.5" customHeight="1">
      <c r="B46" s="27" t="s">
        <v>61</v>
      </c>
      <c r="E46" s="31">
        <v>6000</v>
      </c>
      <c r="F46" s="11"/>
      <c r="G46" s="11"/>
      <c r="I46" s="14"/>
    </row>
    <row r="47" spans="2:7" ht="15.75">
      <c r="B47" s="18" t="s">
        <v>60</v>
      </c>
      <c r="E47" s="39">
        <f>E46/2</f>
        <v>3000</v>
      </c>
      <c r="F47" s="1" t="s">
        <v>50</v>
      </c>
      <c r="G47" s="40">
        <f>E47*1000</f>
        <v>3000000</v>
      </c>
    </row>
    <row r="48" spans="2:7" ht="12.75">
      <c r="B48" s="18" t="s">
        <v>56</v>
      </c>
      <c r="E48" s="3">
        <v>0.3</v>
      </c>
      <c r="F48" s="1" t="s">
        <v>52</v>
      </c>
      <c r="G48" s="20">
        <f>E48/100</f>
        <v>0.003</v>
      </c>
    </row>
    <row r="49" spans="2:6" ht="12.75">
      <c r="B49" s="28" t="s">
        <v>57</v>
      </c>
      <c r="C49">
        <v>1.7</v>
      </c>
      <c r="D49">
        <v>-5</v>
      </c>
      <c r="E49" s="3">
        <f>C49*10^D49</f>
        <v>1.7E-05</v>
      </c>
      <c r="F49" s="1" t="s">
        <v>24</v>
      </c>
    </row>
    <row r="50" spans="2:8" ht="12.75">
      <c r="B50" s="28" t="s">
        <v>59</v>
      </c>
      <c r="H50" s="20">
        <f>G47*G47*PI()</f>
        <v>28274333882308.137</v>
      </c>
    </row>
    <row r="51" spans="2:8" ht="12.75">
      <c r="B51" s="18" t="s">
        <v>58</v>
      </c>
      <c r="E51" s="12">
        <f>H51/1000</f>
        <v>480663.67599923833</v>
      </c>
      <c r="F51" s="1" t="s">
        <v>35</v>
      </c>
      <c r="H51" s="20">
        <f>H50*E49</f>
        <v>480663675.9992383</v>
      </c>
    </row>
    <row r="52" spans="2:6" ht="12.75">
      <c r="B52" s="26" t="s">
        <v>64</v>
      </c>
      <c r="E52" s="21">
        <v>490000</v>
      </c>
      <c r="F52" s="1" t="s">
        <v>35</v>
      </c>
    </row>
    <row r="53" spans="2:6" ht="12.75">
      <c r="B53" t="s">
        <v>63</v>
      </c>
      <c r="E53" s="32">
        <f>H33+H51</f>
        <v>2640663675.9992385</v>
      </c>
      <c r="F53" s="1" t="s">
        <v>25</v>
      </c>
    </row>
    <row r="54" spans="2:6" ht="12.75">
      <c r="B54" s="18" t="s">
        <v>65</v>
      </c>
      <c r="C54">
        <v>2.9</v>
      </c>
      <c r="D54">
        <v>9</v>
      </c>
      <c r="E54" s="36">
        <f>C54*10^D54</f>
        <v>2900000000</v>
      </c>
      <c r="F54" s="1" t="s">
        <v>25</v>
      </c>
    </row>
    <row r="55" spans="2:7" ht="12.75">
      <c r="B55" t="s">
        <v>66</v>
      </c>
      <c r="E55" s="34">
        <f>E54-E53</f>
        <v>259336324.0007615</v>
      </c>
      <c r="F55" s="1" t="s">
        <v>25</v>
      </c>
      <c r="G55" s="35">
        <f>H51/E55</f>
        <v>1.8534375307865738</v>
      </c>
    </row>
    <row r="56" ht="12.75">
      <c r="B56" s="18"/>
    </row>
    <row r="57" ht="12.75">
      <c r="B57" s="7" t="s">
        <v>53</v>
      </c>
    </row>
    <row r="58" spans="2:5" ht="12.75">
      <c r="B58" s="37" t="s">
        <v>72</v>
      </c>
      <c r="E58" s="25">
        <v>0.7</v>
      </c>
    </row>
    <row r="59" spans="2:13" s="10" customFormat="1" ht="34.5" customHeight="1">
      <c r="B59" s="10" t="s">
        <v>69</v>
      </c>
      <c r="E59" s="12">
        <f>M59/10^12</f>
        <v>1242857.142857143</v>
      </c>
      <c r="F59" s="11" t="s">
        <v>71</v>
      </c>
      <c r="M59" s="20">
        <f>E54*E40*E39/E58</f>
        <v>1.242857142857143E+18</v>
      </c>
    </row>
    <row r="60" ht="12.75">
      <c r="B60" t="s">
        <v>73</v>
      </c>
    </row>
    <row r="61" spans="5:13" ht="33.75" customHeight="1">
      <c r="E61" s="12">
        <f>M61/10^12</f>
        <v>621428.5714285715</v>
      </c>
      <c r="F61" s="11" t="s">
        <v>71</v>
      </c>
      <c r="M61" s="19">
        <f>E54*E40*E39/E58/2</f>
        <v>6.214285714285715E+17</v>
      </c>
    </row>
    <row r="62" spans="2:6" ht="12.75">
      <c r="B62" t="s">
        <v>74</v>
      </c>
      <c r="C62">
        <v>1.2</v>
      </c>
      <c r="D62">
        <v>18</v>
      </c>
      <c r="E62" s="36">
        <f>C62*10^D62</f>
        <v>1.2E+18</v>
      </c>
      <c r="F62" s="1" t="s">
        <v>70</v>
      </c>
    </row>
    <row r="63" ht="12.75"/>
    <row r="64" ht="12.75">
      <c r="B64" s="7" t="s">
        <v>75</v>
      </c>
    </row>
    <row r="65" spans="2:6" ht="12.75">
      <c r="B65" t="s">
        <v>79</v>
      </c>
      <c r="E65" s="3">
        <v>0.1</v>
      </c>
      <c r="F65" s="1" t="s">
        <v>48</v>
      </c>
    </row>
    <row r="66" spans="2:6" ht="12.75">
      <c r="B66" t="s">
        <v>76</v>
      </c>
      <c r="E66" s="15">
        <v>1367</v>
      </c>
      <c r="F66" s="1" t="s">
        <v>77</v>
      </c>
    </row>
    <row r="67" spans="2:6" ht="16.5" customHeight="1">
      <c r="B67" s="10" t="s">
        <v>78</v>
      </c>
      <c r="E67" s="12">
        <f>E66*1/(E65*E65)</f>
        <v>136699.99999999997</v>
      </c>
      <c r="F67" s="1" t="s">
        <v>77</v>
      </c>
    </row>
    <row r="68" spans="2:6" ht="12.75">
      <c r="B68" t="s">
        <v>84</v>
      </c>
      <c r="E68" s="41">
        <v>140000</v>
      </c>
      <c r="F68" s="1" t="s">
        <v>77</v>
      </c>
    </row>
    <row r="69" spans="2:5" ht="12.75">
      <c r="B69" t="s">
        <v>80</v>
      </c>
      <c r="E69" s="42">
        <v>0.2</v>
      </c>
    </row>
    <row r="70" spans="2:13" ht="12.75">
      <c r="B70" t="s">
        <v>81</v>
      </c>
      <c r="E70" s="12">
        <f>M70/10^12</f>
        <v>6000000</v>
      </c>
      <c r="F70" s="1" t="s">
        <v>71</v>
      </c>
      <c r="M70" s="20">
        <f>E62/E69</f>
        <v>6E+18</v>
      </c>
    </row>
    <row r="71" spans="2:6" ht="12.75">
      <c r="B71" t="s">
        <v>82</v>
      </c>
      <c r="C71">
        <v>4</v>
      </c>
      <c r="D71">
        <v>26</v>
      </c>
      <c r="E71" s="15">
        <f>C71*10^D71</f>
        <v>4E+26</v>
      </c>
      <c r="F71" s="1" t="s">
        <v>70</v>
      </c>
    </row>
    <row r="72" spans="2:6" ht="12.75">
      <c r="B72" t="s">
        <v>83</v>
      </c>
      <c r="E72" s="59">
        <f>E71/M70</f>
        <v>66666666.66666667</v>
      </c>
      <c r="F72" s="59"/>
    </row>
    <row r="73" spans="2:9" ht="12.75">
      <c r="B73" t="s">
        <v>85</v>
      </c>
      <c r="I73" s="20">
        <f>M70/E67</f>
        <v>43891733723482.086</v>
      </c>
    </row>
    <row r="74" spans="2:7" ht="12.75">
      <c r="B74" t="s">
        <v>86</v>
      </c>
      <c r="E74" s="16">
        <f>G74/1000</f>
        <v>3737.8032005351524</v>
      </c>
      <c r="F74" s="1" t="s">
        <v>50</v>
      </c>
      <c r="G74" s="20">
        <f>SQRT(I73/PI())</f>
        <v>3737803.2005351526</v>
      </c>
    </row>
    <row r="75" spans="2:7" ht="12.75">
      <c r="B75" s="17" t="s">
        <v>87</v>
      </c>
      <c r="E75" s="40">
        <f>G75/1000</f>
        <v>3700</v>
      </c>
      <c r="F75" s="1" t="s">
        <v>50</v>
      </c>
      <c r="G75" s="12">
        <v>3700000</v>
      </c>
    </row>
    <row r="76" ht="12.75"/>
    <row r="77" spans="2:6" ht="12.75">
      <c r="B77" t="s">
        <v>88</v>
      </c>
      <c r="E77" s="43">
        <v>0.002</v>
      </c>
      <c r="F77" s="1" t="s">
        <v>24</v>
      </c>
    </row>
    <row r="78" spans="2:7" ht="12.75">
      <c r="B78" t="s">
        <v>89</v>
      </c>
      <c r="E78" s="33">
        <f>G78/1000</f>
        <v>87783467.44696417</v>
      </c>
      <c r="F78" s="1" t="s">
        <v>90</v>
      </c>
      <c r="G78" s="20">
        <f>E77*I73</f>
        <v>87783467446.96417</v>
      </c>
    </row>
    <row r="79" spans="2:5" ht="12.75">
      <c r="B79" t="s">
        <v>91</v>
      </c>
      <c r="E79" s="44">
        <f>60*60*24*365</f>
        <v>31536000</v>
      </c>
    </row>
    <row r="80" spans="2:6" ht="12.75">
      <c r="B80" t="s">
        <v>92</v>
      </c>
      <c r="E80" s="45">
        <v>10</v>
      </c>
      <c r="F80" s="1" t="s">
        <v>93</v>
      </c>
    </row>
    <row r="81" spans="2:8" ht="12.75">
      <c r="B81" t="s">
        <v>94</v>
      </c>
      <c r="H81" s="12">
        <f>G78/(E80*E79)</f>
        <v>278.3595492356804</v>
      </c>
    </row>
    <row r="82" ht="12.75"/>
    <row r="83" ht="12.75">
      <c r="B83" s="7" t="s">
        <v>95</v>
      </c>
    </row>
    <row r="84" spans="2:7" ht="15.75">
      <c r="B84" s="18" t="s">
        <v>60</v>
      </c>
      <c r="F84"/>
      <c r="G84" s="16">
        <f>G47</f>
        <v>3000000</v>
      </c>
    </row>
    <row r="85" spans="2:6" ht="15.75">
      <c r="B85" s="18" t="s">
        <v>96</v>
      </c>
      <c r="C85">
        <v>3.2</v>
      </c>
      <c r="D85">
        <v>3</v>
      </c>
      <c r="E85" s="15">
        <f>C85*10^D85</f>
        <v>3200</v>
      </c>
      <c r="F85" s="1" t="s">
        <v>97</v>
      </c>
    </row>
    <row r="86" spans="2:6" ht="12.75">
      <c r="B86" s="18" t="s">
        <v>98</v>
      </c>
      <c r="C86">
        <v>4</v>
      </c>
      <c r="D86">
        <v>10</v>
      </c>
      <c r="E86" s="15">
        <f>C86*10^D86</f>
        <v>40000000000</v>
      </c>
      <c r="F86" s="1" t="s">
        <v>99</v>
      </c>
    </row>
    <row r="87" spans="2:6" ht="12.75">
      <c r="B87" s="18" t="s">
        <v>103</v>
      </c>
      <c r="C87">
        <v>2.8</v>
      </c>
      <c r="D87">
        <v>9</v>
      </c>
      <c r="E87" s="3">
        <f>C87*10^D87</f>
        <v>2800000000</v>
      </c>
      <c r="F87" s="1" t="s">
        <v>25</v>
      </c>
    </row>
    <row r="88" spans="2:6" ht="12.75">
      <c r="B88" s="28" t="s">
        <v>104</v>
      </c>
      <c r="E88" s="3">
        <f>H33</f>
        <v>2160000000</v>
      </c>
      <c r="F88" s="1" t="s">
        <v>25</v>
      </c>
    </row>
    <row r="89" spans="2:9" s="10" customFormat="1" ht="48" customHeight="1">
      <c r="B89" s="18" t="s">
        <v>100</v>
      </c>
      <c r="E89" s="46">
        <f>H89/1000</f>
        <v>1093012.0481927712</v>
      </c>
      <c r="F89" s="11" t="s">
        <v>90</v>
      </c>
      <c r="H89" s="20">
        <f>1.4*E85*G84*E88/(E86/E40-1.4*E85*G84)</f>
        <v>1093012048.1927712</v>
      </c>
      <c r="I89" s="47">
        <f>1.4*E85*G84/(E86/E40-1.4*E85*G84)</f>
        <v>0.5060240963855421</v>
      </c>
    </row>
    <row r="90" spans="2:9" s="10" customFormat="1" ht="15.75">
      <c r="B90" s="18" t="s">
        <v>102</v>
      </c>
      <c r="E90" s="49">
        <v>0.5</v>
      </c>
      <c r="F90" s="11"/>
      <c r="G90" s="51">
        <f>2/3</f>
        <v>0.6666666666666666</v>
      </c>
      <c r="H90" s="19"/>
      <c r="I90" s="48"/>
    </row>
    <row r="91" spans="2:7" ht="39" customHeight="1">
      <c r="B91" s="28" t="s">
        <v>101</v>
      </c>
      <c r="E91" s="50">
        <f>1/(3*E90-1)</f>
        <v>2</v>
      </c>
      <c r="G91" s="50">
        <f>1/(3*G90-1)</f>
        <v>1</v>
      </c>
    </row>
    <row r="92" spans="2:8" ht="39" customHeight="1">
      <c r="B92" s="60" t="s">
        <v>116</v>
      </c>
      <c r="C92" s="60"/>
      <c r="D92" s="60"/>
      <c r="E92" s="60"/>
      <c r="F92" s="60"/>
      <c r="G92" s="60"/>
      <c r="H92" s="47">
        <f>E93/E87</f>
        <v>0.0925</v>
      </c>
    </row>
    <row r="93" spans="2:8" ht="12.75">
      <c r="B93" t="s">
        <v>105</v>
      </c>
      <c r="C93">
        <v>2.59</v>
      </c>
      <c r="D93">
        <v>8</v>
      </c>
      <c r="E93" s="3">
        <f>C93*10^D93</f>
        <v>259000000</v>
      </c>
      <c r="F93" s="1" t="s">
        <v>25</v>
      </c>
      <c r="H93" s="54">
        <f>1.4*E85*G84*E88/(E94/E40-1.4*E85*G84)</f>
        <v>259000000.00000367</v>
      </c>
    </row>
    <row r="94" spans="2:7" ht="14.25" customHeight="1">
      <c r="B94" t="s">
        <v>106</v>
      </c>
      <c r="E94" s="52">
        <v>125526486486.4849</v>
      </c>
      <c r="F94" s="1" t="s">
        <v>99</v>
      </c>
      <c r="G94" s="53" t="s">
        <v>107</v>
      </c>
    </row>
    <row r="95" ht="12.75"/>
    <row r="96" ht="12.75">
      <c r="B96" s="7" t="s">
        <v>108</v>
      </c>
    </row>
    <row r="97" spans="2:8" ht="12.75">
      <c r="B97" s="18" t="s">
        <v>58</v>
      </c>
      <c r="E97" s="12">
        <v>480663.67599923833</v>
      </c>
      <c r="F97" s="1" t="s">
        <v>35</v>
      </c>
      <c r="H97" s="20">
        <v>480663675.9992383</v>
      </c>
    </row>
    <row r="98" spans="2:7" ht="15.75">
      <c r="B98" s="18" t="s">
        <v>110</v>
      </c>
      <c r="E98" s="12">
        <v>3000</v>
      </c>
      <c r="F98" s="1" t="s">
        <v>50</v>
      </c>
      <c r="G98" s="20">
        <v>3000000</v>
      </c>
    </row>
    <row r="99" spans="2:8" ht="15.75">
      <c r="B99" s="18" t="s">
        <v>111</v>
      </c>
      <c r="H99" s="20">
        <f>E54-H97</f>
        <v>2419336324.0007615</v>
      </c>
    </row>
    <row r="100" spans="2:11" ht="36" customHeight="1">
      <c r="B100" s="18" t="s">
        <v>109</v>
      </c>
      <c r="E100" s="56">
        <f>K100</f>
        <v>3885.868489830139</v>
      </c>
      <c r="F100" s="11" t="s">
        <v>5</v>
      </c>
      <c r="K100" s="20">
        <f>SQRT(E40*G98*(H99)/H97)</f>
        <v>3885.868489830139</v>
      </c>
    </row>
    <row r="101" spans="3:6" ht="12.75">
      <c r="C101">
        <v>5</v>
      </c>
      <c r="D101">
        <v>3</v>
      </c>
      <c r="E101" s="3">
        <f>C101*10^D101</f>
        <v>5000</v>
      </c>
      <c r="F101" s="11" t="s">
        <v>5</v>
      </c>
    </row>
    <row r="102" spans="2:6" ht="12.75">
      <c r="B102" s="55" t="s">
        <v>120</v>
      </c>
      <c r="E102" s="3">
        <f>E101/G98</f>
        <v>0.0016666666666666668</v>
      </c>
      <c r="F102" s="11" t="s">
        <v>121</v>
      </c>
    </row>
    <row r="103" spans="2:6" ht="12.75">
      <c r="B103" s="55" t="s">
        <v>122</v>
      </c>
      <c r="E103" s="3">
        <f>E102/(2*PI())</f>
        <v>0.00026525823848649226</v>
      </c>
      <c r="F103" s="11" t="s">
        <v>124</v>
      </c>
    </row>
    <row r="104" spans="2:6" ht="12.75">
      <c r="B104" s="55" t="s">
        <v>123</v>
      </c>
      <c r="E104" s="3">
        <f>E103*3600</f>
        <v>0.9549296585513721</v>
      </c>
      <c r="F104" s="11" t="s">
        <v>125</v>
      </c>
    </row>
    <row r="105" spans="2:6" ht="12.75">
      <c r="B105" s="55"/>
      <c r="E105" s="3"/>
      <c r="F105" s="11"/>
    </row>
    <row r="106" spans="2:6" ht="12.75">
      <c r="B106" s="18" t="s">
        <v>114</v>
      </c>
      <c r="E106" s="3">
        <v>0.003</v>
      </c>
      <c r="F106" s="11" t="s">
        <v>1</v>
      </c>
    </row>
    <row r="107" spans="2:6" ht="12.75">
      <c r="B107" s="18" t="s">
        <v>115</v>
      </c>
      <c r="C107">
        <v>3</v>
      </c>
      <c r="D107">
        <v>-6</v>
      </c>
      <c r="E107" s="3">
        <f>C107*10^D107</f>
        <v>3E-06</v>
      </c>
      <c r="F107" s="11" t="s">
        <v>1</v>
      </c>
    </row>
    <row r="108" spans="2:6" ht="42.75" customHeight="1">
      <c r="B108" s="18" t="s">
        <v>113</v>
      </c>
      <c r="E108" s="20">
        <f>(2*H97*E106/PI()^2)*(E101/(G98*E107))^2</f>
        <v>90187801085.40735</v>
      </c>
      <c r="F108" s="11" t="s">
        <v>99</v>
      </c>
    </row>
    <row r="109" spans="2:6" ht="12.75">
      <c r="B109" s="55" t="s">
        <v>112</v>
      </c>
      <c r="C109">
        <v>1</v>
      </c>
      <c r="D109">
        <v>11</v>
      </c>
      <c r="E109" s="3">
        <f>C109*10^D109</f>
        <v>100000000000</v>
      </c>
      <c r="F109" s="11" t="s">
        <v>99</v>
      </c>
    </row>
    <row r="110" ht="12.75"/>
    <row r="111" spans="2:6" ht="42.75" customHeight="1">
      <c r="B111" s="18" t="s">
        <v>118</v>
      </c>
      <c r="E111" s="20">
        <f>E40*(H99+H89)/(PI()*G98*G98)*(E106/(2*PI()*E107*E107))*E112</f>
        <v>21088906336.882202</v>
      </c>
      <c r="F111" s="11" t="s">
        <v>99</v>
      </c>
    </row>
    <row r="112" spans="2:6" ht="15.75">
      <c r="B112" s="18" t="s">
        <v>117</v>
      </c>
      <c r="C112">
        <v>3.2</v>
      </c>
      <c r="D112">
        <v>6</v>
      </c>
      <c r="E112" s="3">
        <f>C112*10^D112</f>
        <v>3200000</v>
      </c>
      <c r="F112" s="1" t="s">
        <v>1</v>
      </c>
    </row>
    <row r="113" ht="42" customHeight="1">
      <c r="E113" s="19">
        <f>G90*4*10^10</f>
        <v>26666666666.666664</v>
      </c>
    </row>
    <row r="114" ht="12.75"/>
    <row r="115" ht="12.75">
      <c r="B115" s="7" t="s">
        <v>119</v>
      </c>
    </row>
    <row r="116" spans="2:6" ht="12.75">
      <c r="B116" t="s">
        <v>126</v>
      </c>
      <c r="E116">
        <v>10</v>
      </c>
      <c r="F116" s="1" t="s">
        <v>129</v>
      </c>
    </row>
    <row r="117" spans="2:5" ht="12.75">
      <c r="B117" t="s">
        <v>127</v>
      </c>
      <c r="E117">
        <v>0.04</v>
      </c>
    </row>
    <row r="119" spans="2:6" ht="12.75">
      <c r="B119" t="s">
        <v>128</v>
      </c>
      <c r="C119">
        <v>2</v>
      </c>
      <c r="D119">
        <v>-13</v>
      </c>
      <c r="E119" s="3">
        <f>C119*10^D119</f>
        <v>2E-13</v>
      </c>
      <c r="F119" s="1" t="s">
        <v>129</v>
      </c>
    </row>
    <row r="120" spans="2:6" ht="12.75">
      <c r="B120" t="s">
        <v>130</v>
      </c>
      <c r="E120" s="3">
        <v>0.3</v>
      </c>
      <c r="F120" s="1" t="s">
        <v>52</v>
      </c>
    </row>
    <row r="121" spans="2:6" ht="12.75">
      <c r="B121" t="s">
        <v>131</v>
      </c>
      <c r="C121">
        <v>3</v>
      </c>
      <c r="D121">
        <v>-4</v>
      </c>
      <c r="E121" s="3">
        <f>C121*10^D121</f>
        <v>0.00030000000000000003</v>
      </c>
      <c r="F121" s="1" t="s">
        <v>52</v>
      </c>
    </row>
    <row r="122" spans="2:6" ht="12.75">
      <c r="B122" t="s">
        <v>132</v>
      </c>
      <c r="E122" s="3">
        <f>E120*E121</f>
        <v>9E-05</v>
      </c>
      <c r="F122" s="1" t="s">
        <v>133</v>
      </c>
    </row>
    <row r="123" spans="2:7" ht="12.75">
      <c r="B123" t="s">
        <v>134</v>
      </c>
      <c r="E123" s="20">
        <f>G123*100</f>
        <v>45000000000000000</v>
      </c>
      <c r="F123" s="1" t="s">
        <v>52</v>
      </c>
      <c r="G123" s="19">
        <f>G42</f>
        <v>450000000000000</v>
      </c>
    </row>
    <row r="124" spans="2:5" ht="12.75">
      <c r="B124" t="s">
        <v>135</v>
      </c>
      <c r="E124" s="20">
        <f>E123*E122*E119</f>
        <v>0.8100000000000002</v>
      </c>
    </row>
    <row r="127" spans="2:6" ht="12.75">
      <c r="B127" t="s">
        <v>136</v>
      </c>
      <c r="F127"/>
    </row>
    <row r="128" spans="2:6" ht="12.75">
      <c r="B128" t="s">
        <v>137</v>
      </c>
      <c r="E128" s="15">
        <v>80</v>
      </c>
      <c r="F128" t="s">
        <v>97</v>
      </c>
    </row>
    <row r="129" spans="2:6" ht="12.75">
      <c r="B129" t="s">
        <v>138</v>
      </c>
      <c r="E129">
        <f>E128*2</f>
        <v>160</v>
      </c>
      <c r="F129" t="s">
        <v>97</v>
      </c>
    </row>
    <row r="130" spans="2:6" ht="12.75">
      <c r="B130" t="s">
        <v>139</v>
      </c>
      <c r="E130" s="20">
        <f>H33</f>
        <v>2160000000</v>
      </c>
      <c r="F130" t="s">
        <v>25</v>
      </c>
    </row>
    <row r="131" spans="2:6" ht="12.75">
      <c r="B131" t="s">
        <v>140</v>
      </c>
      <c r="E131">
        <f>E130*3/4</f>
        <v>1620000000</v>
      </c>
      <c r="F131" t="s">
        <v>25</v>
      </c>
    </row>
    <row r="132" spans="2:6" ht="12.75">
      <c r="B132" t="s">
        <v>146</v>
      </c>
      <c r="E132">
        <f>E131/E129</f>
        <v>10125000</v>
      </c>
      <c r="F132" t="s">
        <v>8</v>
      </c>
    </row>
    <row r="133" ht="12.75">
      <c r="B133" s="7" t="s">
        <v>148</v>
      </c>
    </row>
    <row r="134" spans="2:6" ht="12.75">
      <c r="B134" t="s">
        <v>141</v>
      </c>
      <c r="E134">
        <v>6</v>
      </c>
      <c r="F134" t="s">
        <v>142</v>
      </c>
    </row>
    <row r="135" spans="2:6" ht="12.75">
      <c r="B135" t="s">
        <v>143</v>
      </c>
      <c r="E135">
        <f>E132/E134</f>
        <v>1687500</v>
      </c>
      <c r="F135" t="s">
        <v>8</v>
      </c>
    </row>
    <row r="136" spans="2:6" ht="12.75">
      <c r="B136" t="s">
        <v>144</v>
      </c>
      <c r="E136" s="57">
        <f>(3*E135/(4*PI()))^(1/3)</f>
        <v>73.85587663820219</v>
      </c>
      <c r="F136" t="s">
        <v>1</v>
      </c>
    </row>
    <row r="137" spans="2:6" ht="12.75">
      <c r="B137" t="s">
        <v>145</v>
      </c>
      <c r="E137" s="58">
        <f>E136*2</f>
        <v>147.71175327640438</v>
      </c>
      <c r="F137" t="s">
        <v>1</v>
      </c>
    </row>
    <row r="138" ht="12.75">
      <c r="B138" s="7" t="s">
        <v>149</v>
      </c>
    </row>
    <row r="139" spans="2:6" ht="12.75">
      <c r="B139" t="s">
        <v>147</v>
      </c>
      <c r="E139" s="58">
        <f>(4*E132/(PI()*PI()))^(1/3)</f>
        <v>160.09769993293213</v>
      </c>
      <c r="F139" t="s">
        <v>1</v>
      </c>
    </row>
    <row r="140" spans="2:6" ht="12.75">
      <c r="B140" s="7" t="s">
        <v>150</v>
      </c>
      <c r="F140"/>
    </row>
    <row r="141" spans="2:6" ht="12.75">
      <c r="B141" t="s">
        <v>151</v>
      </c>
      <c r="E141">
        <v>90</v>
      </c>
      <c r="F141" t="s">
        <v>1</v>
      </c>
    </row>
    <row r="142" spans="2:6" ht="12.75">
      <c r="B142" t="s">
        <v>153</v>
      </c>
      <c r="E142">
        <v>10</v>
      </c>
      <c r="F142" t="s">
        <v>1</v>
      </c>
    </row>
    <row r="143" spans="2:6" ht="12.75">
      <c r="B143" t="s">
        <v>152</v>
      </c>
      <c r="E143" s="58">
        <f>E132/(PI()*((E141*E141)-(E142*E142)))</f>
        <v>402.8609497013601</v>
      </c>
      <c r="F143" t="s">
        <v>1</v>
      </c>
    </row>
  </sheetData>
  <mergeCells count="2">
    <mergeCell ref="E72:F72"/>
    <mergeCell ref="B92:G92"/>
  </mergeCells>
  <printOptions/>
  <pageMargins left="0.75" right="0.75" top="1" bottom="1" header="0.5" footer="0.5"/>
  <pageSetup horizontalDpi="600" verticalDpi="600" orientation="portrait" paperSize="9" r:id="rId18"/>
  <drawing r:id="rId17"/>
  <legacyDrawing r:id="rId16"/>
  <oleObjects>
    <oleObject progId="Equation.3" shapeId="692671" r:id="rId2"/>
    <oleObject progId="Equation.3" shapeId="702742" r:id="rId3"/>
    <oleObject progId="Equation.3" shapeId="889247" r:id="rId4"/>
    <oleObject progId="Equation.3" shapeId="1094996" r:id="rId5"/>
    <oleObject progId="Equation.3" shapeId="1120946" r:id="rId6"/>
    <oleObject progId="Equation.3" shapeId="1482621" r:id="rId7"/>
    <oleObject progId="Equation.3" shapeId="1507164" r:id="rId8"/>
    <oleObject progId="Equation.3" shapeId="1950497" r:id="rId9"/>
    <oleObject progId="Equation.3" shapeId="1971365" r:id="rId10"/>
    <oleObject progId="Equation.3" shapeId="139637" r:id="rId11"/>
    <oleObject progId="Equation.3" shapeId="266515" r:id="rId12"/>
    <oleObject progId="Equation.3" shapeId="568736" r:id="rId13"/>
    <oleObject progId="Equation.3" shapeId="611590" r:id="rId14"/>
    <oleObject progId="Equation.3" shapeId="552048" r:id="rId1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sem</cp:lastModifiedBy>
  <cp:lastPrinted>2007-12-12T19:17:12Z</cp:lastPrinted>
  <dcterms:created xsi:type="dcterms:W3CDTF">1996-10-08T23:32:33Z</dcterms:created>
  <dcterms:modified xsi:type="dcterms:W3CDTF">2007-12-13T14:16:26Z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